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armuuskopio_15062012_Parikka\Omat tiedostot\Suomen Lammasyhdistys\2016\"/>
    </mc:Choice>
  </mc:AlternateContent>
  <bookViews>
    <workbookView xWindow="0" yWindow="0" windowWidth="20490" windowHeight="775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D27" i="1" l="1"/>
  <c r="D28" i="1"/>
  <c r="F30" i="1"/>
  <c r="G25" i="1"/>
  <c r="F25" i="1"/>
  <c r="F26" i="1"/>
  <c r="F24" i="1"/>
  <c r="F22" i="1"/>
  <c r="F19" i="1"/>
  <c r="F18" i="1"/>
  <c r="F16" i="1"/>
  <c r="D40" i="1"/>
  <c r="D41" i="1" s="1"/>
  <c r="D20" i="1"/>
  <c r="D11" i="1"/>
  <c r="D31" i="1" l="1"/>
  <c r="D32" i="1" s="1"/>
  <c r="D34" i="1" s="1"/>
  <c r="D45" i="1" s="1"/>
  <c r="D47" i="1" s="1"/>
  <c r="E28" i="1"/>
  <c r="E10" i="1"/>
  <c r="H9" i="1"/>
  <c r="E27" i="1"/>
  <c r="G30" i="1"/>
  <c r="G22" i="1"/>
  <c r="G43" i="1"/>
  <c r="G40" i="1"/>
  <c r="G39" i="1"/>
  <c r="G41" i="1" s="1"/>
  <c r="G24" i="1"/>
  <c r="G26" i="1"/>
  <c r="G18" i="1"/>
  <c r="G20" i="1" s="1"/>
  <c r="E7" i="1"/>
  <c r="G7" i="1"/>
  <c r="G11" i="1" s="1"/>
  <c r="E40" i="1"/>
  <c r="E41" i="1" s="1"/>
  <c r="E31" i="1"/>
  <c r="E20" i="1"/>
  <c r="E11" i="1"/>
  <c r="F40" i="1"/>
  <c r="F41" i="1" s="1"/>
  <c r="H39" i="1"/>
  <c r="H41" i="1" s="1"/>
  <c r="H25" i="1"/>
  <c r="H24" i="1"/>
  <c r="H22" i="1"/>
  <c r="H31" i="1" s="1"/>
  <c r="H18" i="1"/>
  <c r="H20" i="1" s="1"/>
  <c r="H11" i="1"/>
  <c r="F11" i="1"/>
  <c r="F20" i="1"/>
  <c r="I30" i="1"/>
  <c r="I7" i="1"/>
  <c r="I11" i="1" s="1"/>
  <c r="I43" i="1"/>
  <c r="I39" i="1"/>
  <c r="I41" i="1"/>
  <c r="I25" i="1"/>
  <c r="I31" i="1" s="1"/>
  <c r="I32" i="1" s="1"/>
  <c r="I22" i="1"/>
  <c r="I18" i="1"/>
  <c r="I26" i="1"/>
  <c r="I16" i="1"/>
  <c r="F31" i="1"/>
  <c r="J22" i="1"/>
  <c r="J43" i="1"/>
  <c r="J39" i="1"/>
  <c r="J41" i="1" s="1"/>
  <c r="J25" i="1"/>
  <c r="J30" i="1"/>
  <c r="J24" i="1"/>
  <c r="J18" i="1"/>
  <c r="J26" i="1"/>
  <c r="J16" i="1"/>
  <c r="J20" i="1" s="1"/>
  <c r="J7" i="1"/>
  <c r="J11" i="1" s="1"/>
  <c r="L41" i="1"/>
  <c r="K41" i="1"/>
  <c r="L31" i="1"/>
  <c r="L32" i="1" s="1"/>
  <c r="K31" i="1"/>
  <c r="L20" i="1"/>
  <c r="K20" i="1"/>
  <c r="L11" i="1"/>
  <c r="L34" i="1" s="1"/>
  <c r="L45" i="1" s="1"/>
  <c r="L47" i="1" s="1"/>
  <c r="K11" i="1"/>
  <c r="K32" i="1"/>
  <c r="I20" i="1"/>
  <c r="F32" i="1" l="1"/>
  <c r="F34" i="1" s="1"/>
  <c r="F45" i="1" s="1"/>
  <c r="F47" i="1" s="1"/>
  <c r="K34" i="1"/>
  <c r="K45" i="1" s="1"/>
  <c r="K47" i="1" s="1"/>
  <c r="J31" i="1"/>
  <c r="J32" i="1" s="1"/>
  <c r="J34" i="1" s="1"/>
  <c r="J45" i="1" s="1"/>
  <c r="J47" i="1" s="1"/>
  <c r="I34" i="1"/>
  <c r="I45" i="1" s="1"/>
  <c r="I47" i="1" s="1"/>
  <c r="H32" i="1"/>
  <c r="H34" i="1" s="1"/>
  <c r="H45" i="1" s="1"/>
  <c r="H47" i="1" s="1"/>
  <c r="E32" i="1"/>
  <c r="E34" i="1" s="1"/>
  <c r="E45" i="1" s="1"/>
  <c r="E47" i="1" s="1"/>
  <c r="G31" i="1"/>
  <c r="G32" i="1" s="1"/>
  <c r="G34" i="1" s="1"/>
  <c r="G45" i="1" s="1"/>
  <c r="G47" i="1" s="1"/>
</calcChain>
</file>

<file path=xl/comments1.xml><?xml version="1.0" encoding="utf-8"?>
<comments xmlns="http://schemas.openxmlformats.org/spreadsheetml/2006/main">
  <authors>
    <author>Pia Parikka</author>
  </authors>
  <commentList>
    <comment ref="D16" authorId="0" shapeId="0">
      <text>
        <r>
          <rPr>
            <b/>
            <sz val="9"/>
            <color indexed="81"/>
            <rFont val="Tahoma"/>
            <charset val="1"/>
          </rPr>
          <t>Pia Parikka:</t>
        </r>
        <r>
          <rPr>
            <sz val="9"/>
            <color indexed="81"/>
            <rFont val="Tahoma"/>
            <charset val="1"/>
          </rPr>
          <t xml:space="preserve">
Pienennetään painosta alentuneen jäsenmäärän vuoksi ja vältetään erikoispaksuja numeroita.</t>
        </r>
      </text>
    </comment>
    <comment ref="D25" authorId="0" shapeId="0">
      <text>
        <r>
          <rPr>
            <b/>
            <sz val="9"/>
            <color indexed="81"/>
            <rFont val="Tahoma"/>
            <charset val="1"/>
          </rPr>
          <t>Pia Parikka:</t>
        </r>
        <r>
          <rPr>
            <sz val="9"/>
            <color indexed="81"/>
            <rFont val="Tahoma"/>
            <charset val="1"/>
          </rPr>
          <t xml:space="preserve">
Nykyinen noin 9000 + jäsenrekisteriuudistus 1 000 € sisi 435 euroa PA Keskusten Liiton jäsenmaksua</t>
        </r>
      </text>
    </comment>
    <comment ref="D27" authorId="0" shapeId="0">
      <text>
        <r>
          <rPr>
            <b/>
            <sz val="9"/>
            <color indexed="81"/>
            <rFont val="Tahoma"/>
            <charset val="1"/>
          </rPr>
          <t>Pia Parikka:</t>
        </r>
        <r>
          <rPr>
            <sz val="9"/>
            <color indexed="81"/>
            <rFont val="Tahoma"/>
            <charset val="1"/>
          </rPr>
          <t xml:space="preserve">
Sisältää Pialle 3 lomautuskuukautta</t>
        </r>
      </text>
    </comment>
  </commentList>
</comments>
</file>

<file path=xl/sharedStrings.xml><?xml version="1.0" encoding="utf-8"?>
<sst xmlns="http://schemas.openxmlformats.org/spreadsheetml/2006/main" count="45" uniqueCount="42">
  <si>
    <t>SUOMEN LAMMASYHDISTYS RY</t>
  </si>
  <si>
    <t>Varsinainen toiminta</t>
  </si>
  <si>
    <t>Tuotot</t>
  </si>
  <si>
    <t>Jäsen- ja lehtimaksut</t>
  </si>
  <si>
    <t>Kulut</t>
  </si>
  <si>
    <t>Poistot</t>
  </si>
  <si>
    <t>Muut kulut</t>
  </si>
  <si>
    <t>Lammas &amp; vuohi -lehti</t>
  </si>
  <si>
    <t>Painatus</t>
  </si>
  <si>
    <t>Palkkiot ym.</t>
  </si>
  <si>
    <t>Muut lehtikulut</t>
  </si>
  <si>
    <t>Kokous- ja matkakulut</t>
  </si>
  <si>
    <t>Postikulut</t>
  </si>
  <si>
    <t>ProAgria Palvelukeskus</t>
  </si>
  <si>
    <t>Muut varsinaisen toiminnan kulut</t>
  </si>
  <si>
    <t>Kulut yhteensä</t>
  </si>
  <si>
    <t>Kulujäämä</t>
  </si>
  <si>
    <t>Sijoitus- ja rahoitustoiminta</t>
  </si>
  <si>
    <t>Osinkotuotot</t>
  </si>
  <si>
    <t>Korkotuotot</t>
  </si>
  <si>
    <t>Vuokrakulut</t>
  </si>
  <si>
    <t>Tilikauden tulos</t>
  </si>
  <si>
    <t>Taitto</t>
  </si>
  <si>
    <t>Asiantuntijapalvelut</t>
  </si>
  <si>
    <t>Toteuma 2009, euroa</t>
  </si>
  <si>
    <t>Toteuma 2010, euroa</t>
  </si>
  <si>
    <t>Toteuma 2011, euroa</t>
  </si>
  <si>
    <t>Toteuma 2012, euroa</t>
  </si>
  <si>
    <t>Nettisivut</t>
  </si>
  <si>
    <t>Saadut palkintorahat</t>
  </si>
  <si>
    <t>Ilmoitusmyynti ja muut tuotot</t>
  </si>
  <si>
    <t>Toteuma 2013, euroa</t>
  </si>
  <si>
    <t>Vuokratuotot</t>
  </si>
  <si>
    <t>Budjetti 2016, euroa</t>
  </si>
  <si>
    <t>Toteuma 2014, euroa</t>
  </si>
  <si>
    <t>Palkat ja sivukulut</t>
  </si>
  <si>
    <t>Muut tuotot</t>
  </si>
  <si>
    <t>Tilin- ja toiminnantarkastus</t>
  </si>
  <si>
    <t>Budjetti 2017, euroa</t>
  </si>
  <si>
    <t>Toteuma 2015, euroa</t>
  </si>
  <si>
    <t>Toimiston vuokra ja muut hallintokulut</t>
  </si>
  <si>
    <t>Tulo- ja menoarvio vuodelle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</si>
</sst>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0" fillId="0" borderId="0" xfId="0" applyNumberFormat="1" applyFont="1" applyFill="1" applyAlignment="1" applyProtection="1">
      <alignment horizontal="left"/>
    </xf>
    <xf numFmtId="0" fontId="0" fillId="0" borderId="0" xfId="0" applyNumberFormat="1" applyFont="1" applyFill="1" applyAlignment="1" applyProtection="1"/>
    <xf numFmtId="3" fontId="1" fillId="0" borderId="0" xfId="0" applyNumberFormat="1" applyFont="1" applyFill="1" applyAlignment="1" applyProtection="1">
      <alignment horizontal="right"/>
    </xf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>
      <alignment horizontal="right"/>
    </xf>
    <xf numFmtId="2" fontId="0" fillId="0" borderId="0" xfId="0" applyNumberFormat="1"/>
    <xf numFmtId="2" fontId="0" fillId="0" borderId="1" xfId="0" applyNumberFormat="1" applyBorder="1"/>
    <xf numFmtId="2" fontId="3" fillId="0" borderId="0" xfId="0" applyNumberFormat="1" applyFont="1" applyBorder="1"/>
    <xf numFmtId="2" fontId="0" fillId="0" borderId="0" xfId="0" applyNumberFormat="1" applyFont="1"/>
    <xf numFmtId="2" fontId="0" fillId="0" borderId="0" xfId="0" applyNumberFormat="1" applyFont="1" applyBorder="1"/>
    <xf numFmtId="2" fontId="0" fillId="0" borderId="1" xfId="0" applyNumberFormat="1" applyFont="1" applyBorder="1"/>
    <xf numFmtId="2" fontId="0" fillId="0" borderId="0" xfId="0" applyNumberFormat="1" applyFont="1" applyFill="1" applyBorder="1"/>
    <xf numFmtId="2" fontId="0" fillId="0" borderId="1" xfId="0" applyNumberFormat="1" applyFont="1" applyFill="1" applyBorder="1"/>
    <xf numFmtId="2" fontId="3" fillId="0" borderId="1" xfId="0" applyNumberFormat="1" applyFont="1" applyBorder="1"/>
    <xf numFmtId="0" fontId="4" fillId="0" borderId="0" xfId="0" applyFont="1" applyAlignment="1">
      <alignment horizontal="right" wrapText="1"/>
    </xf>
    <xf numFmtId="2" fontId="0" fillId="0" borderId="0" xfId="0" applyNumberFormat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zoomScaleNormal="100" workbookViewId="0">
      <selection activeCell="A3" sqref="A3"/>
    </sheetView>
  </sheetViews>
  <sheetFormatPr defaultRowHeight="15" x14ac:dyDescent="0.25"/>
  <cols>
    <col min="3" max="3" width="24.7109375" customWidth="1"/>
    <col min="4" max="4" width="13.7109375" customWidth="1"/>
    <col min="5" max="5" width="13.28515625" customWidth="1"/>
    <col min="6" max="6" width="12.140625" customWidth="1"/>
    <col min="7" max="9" width="12.7109375" customWidth="1"/>
    <col min="10" max="10" width="13.42578125" customWidth="1"/>
    <col min="11" max="11" width="12.42578125" customWidth="1"/>
    <col min="12" max="12" width="12.140625" customWidth="1"/>
    <col min="13" max="13" width="11.42578125" customWidth="1"/>
  </cols>
  <sheetData>
    <row r="1" spans="1:13" ht="18.75" x14ac:dyDescent="0.3">
      <c r="A1" s="1" t="s">
        <v>0</v>
      </c>
    </row>
    <row r="2" spans="1:13" x14ac:dyDescent="0.25">
      <c r="K2" s="4"/>
      <c r="L2" s="5"/>
      <c r="M2" s="6"/>
    </row>
    <row r="3" spans="1:13" ht="18.75" x14ac:dyDescent="0.3">
      <c r="A3" s="2" t="s">
        <v>41</v>
      </c>
      <c r="K3" s="12"/>
      <c r="L3" s="13"/>
      <c r="M3" s="14"/>
    </row>
    <row r="4" spans="1:13" ht="30" x14ac:dyDescent="0.25">
      <c r="D4" s="24" t="s">
        <v>38</v>
      </c>
      <c r="E4" s="24" t="s">
        <v>33</v>
      </c>
      <c r="F4" s="24" t="s">
        <v>39</v>
      </c>
      <c r="G4" s="24" t="s">
        <v>34</v>
      </c>
      <c r="H4" s="24" t="s">
        <v>31</v>
      </c>
      <c r="I4" s="24" t="s">
        <v>27</v>
      </c>
      <c r="J4" s="24" t="s">
        <v>26</v>
      </c>
      <c r="K4" s="24" t="s">
        <v>25</v>
      </c>
      <c r="L4" s="24" t="s">
        <v>24</v>
      </c>
      <c r="M4" s="7"/>
    </row>
    <row r="5" spans="1:13" x14ac:dyDescent="0.25">
      <c r="A5" s="3" t="s">
        <v>1</v>
      </c>
      <c r="H5" s="18"/>
      <c r="I5" s="18"/>
      <c r="J5" s="18"/>
      <c r="K5" s="19"/>
      <c r="L5" s="19"/>
      <c r="M5" s="9"/>
    </row>
    <row r="6" spans="1:13" x14ac:dyDescent="0.25">
      <c r="A6" s="3" t="s">
        <v>2</v>
      </c>
      <c r="H6" s="18"/>
      <c r="I6" s="18"/>
      <c r="J6" s="18"/>
      <c r="K6" s="17"/>
      <c r="L6" s="19"/>
      <c r="M6" s="9"/>
    </row>
    <row r="7" spans="1:13" x14ac:dyDescent="0.25">
      <c r="B7" t="s">
        <v>3</v>
      </c>
      <c r="D7" s="15">
        <v>62500</v>
      </c>
      <c r="E7" s="15">
        <f>79*900</f>
        <v>71100</v>
      </c>
      <c r="F7" s="15">
        <v>57748.7</v>
      </c>
      <c r="G7" s="15">
        <f>82.8+295+62184</f>
        <v>62561.8</v>
      </c>
      <c r="H7" s="15">
        <v>61763.61</v>
      </c>
      <c r="I7" s="15">
        <f>148+105+60023.65</f>
        <v>60276.65</v>
      </c>
      <c r="J7" s="18">
        <f>571+48965</f>
        <v>49536</v>
      </c>
      <c r="K7" s="19">
        <v>51275</v>
      </c>
      <c r="L7" s="19">
        <v>49462</v>
      </c>
      <c r="M7" s="9"/>
    </row>
    <row r="8" spans="1:13" x14ac:dyDescent="0.25">
      <c r="B8" t="s">
        <v>29</v>
      </c>
      <c r="D8" s="15"/>
      <c r="E8" s="15"/>
      <c r="F8" s="15"/>
      <c r="G8" s="15"/>
      <c r="H8" s="15"/>
      <c r="I8" s="15">
        <v>3475</v>
      </c>
      <c r="J8" s="18"/>
      <c r="K8" s="19"/>
      <c r="L8" s="19"/>
      <c r="M8" s="9"/>
    </row>
    <row r="9" spans="1:13" x14ac:dyDescent="0.25">
      <c r="B9" t="s">
        <v>30</v>
      </c>
      <c r="D9" s="25">
        <v>17000</v>
      </c>
      <c r="E9" s="25">
        <v>19000</v>
      </c>
      <c r="F9" s="25">
        <v>16899</v>
      </c>
      <c r="G9" s="25">
        <v>14780.5</v>
      </c>
      <c r="H9" s="25">
        <f>17214.25+144.5+489.98</f>
        <v>17848.73</v>
      </c>
      <c r="I9" s="25">
        <v>11638.1</v>
      </c>
      <c r="J9" s="19">
        <v>15371</v>
      </c>
      <c r="K9" s="19">
        <v>11501</v>
      </c>
      <c r="L9" s="19">
        <v>10600</v>
      </c>
      <c r="M9" s="9"/>
    </row>
    <row r="10" spans="1:13" x14ac:dyDescent="0.25">
      <c r="B10" t="s">
        <v>36</v>
      </c>
      <c r="D10" s="16"/>
      <c r="E10" s="16">
        <f>2500-144</f>
        <v>2356</v>
      </c>
      <c r="F10" s="16"/>
      <c r="G10" s="16"/>
      <c r="H10" s="16"/>
      <c r="I10" s="16"/>
      <c r="J10" s="20"/>
      <c r="K10" s="20"/>
      <c r="L10" s="20"/>
      <c r="M10" s="9"/>
    </row>
    <row r="11" spans="1:13" x14ac:dyDescent="0.25">
      <c r="D11" s="15">
        <f>SUM(D7:D10)</f>
        <v>79500</v>
      </c>
      <c r="E11" s="15">
        <f>SUM(E7:E10)</f>
        <v>92456</v>
      </c>
      <c r="F11" s="15">
        <f>SUM(F7:F10)</f>
        <v>74647.7</v>
      </c>
      <c r="G11" s="15">
        <f>SUM(G7:G10)</f>
        <v>77342.3</v>
      </c>
      <c r="H11" s="15">
        <f>SUM(H7:H10)</f>
        <v>79612.34</v>
      </c>
      <c r="I11" s="15">
        <f>I10+I7+I8</f>
        <v>63751.65</v>
      </c>
      <c r="J11" s="18">
        <f>SUM(J7:J10)</f>
        <v>64907</v>
      </c>
      <c r="K11" s="17">
        <f>SUM(K7:K10)</f>
        <v>62776</v>
      </c>
      <c r="L11" s="19">
        <f>SUM(L7:L10)</f>
        <v>60062</v>
      </c>
      <c r="M11" s="9"/>
    </row>
    <row r="12" spans="1:13" x14ac:dyDescent="0.25">
      <c r="A12" s="3" t="s">
        <v>4</v>
      </c>
      <c r="D12" s="15"/>
      <c r="E12" s="15"/>
      <c r="F12" s="15"/>
      <c r="G12" s="15"/>
      <c r="H12" s="15"/>
      <c r="I12" s="15"/>
      <c r="J12" s="18"/>
      <c r="K12" s="19"/>
      <c r="L12" s="19"/>
      <c r="M12" s="9"/>
    </row>
    <row r="13" spans="1:13" x14ac:dyDescent="0.25">
      <c r="A13" t="s">
        <v>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8">
        <v>0</v>
      </c>
      <c r="K13" s="19">
        <v>0</v>
      </c>
      <c r="L13" s="21">
        <v>0</v>
      </c>
      <c r="M13" s="9"/>
    </row>
    <row r="14" spans="1:13" x14ac:dyDescent="0.25">
      <c r="A14" t="s">
        <v>6</v>
      </c>
      <c r="D14" s="15"/>
      <c r="E14" s="15"/>
      <c r="F14" s="15"/>
      <c r="G14" s="15"/>
      <c r="H14" s="15"/>
      <c r="I14" s="15"/>
      <c r="J14" s="18"/>
      <c r="K14" s="17"/>
      <c r="L14" s="19"/>
      <c r="M14" s="9"/>
    </row>
    <row r="15" spans="1:13" x14ac:dyDescent="0.25">
      <c r="B15" t="s">
        <v>7</v>
      </c>
      <c r="D15" s="15"/>
      <c r="E15" s="15"/>
      <c r="F15" s="15"/>
      <c r="G15" s="15"/>
      <c r="H15" s="15"/>
      <c r="I15" s="15"/>
      <c r="J15" s="18"/>
      <c r="K15" s="17"/>
      <c r="L15" s="19"/>
      <c r="M15" s="9"/>
    </row>
    <row r="16" spans="1:13" x14ac:dyDescent="0.25">
      <c r="C16" t="s">
        <v>8</v>
      </c>
      <c r="D16" s="15">
        <v>11000</v>
      </c>
      <c r="E16" s="15">
        <v>11100</v>
      </c>
      <c r="F16" s="15">
        <f>22409.68</f>
        <v>22409.68</v>
      </c>
      <c r="G16" s="15">
        <v>19086.310000000001</v>
      </c>
      <c r="H16" s="15">
        <v>17452.84</v>
      </c>
      <c r="I16" s="15">
        <f>16697.02</f>
        <v>16697.02</v>
      </c>
      <c r="J16" s="18">
        <f>18393</f>
        <v>18393</v>
      </c>
      <c r="K16" s="19">
        <v>18355.34</v>
      </c>
      <c r="L16" s="19">
        <v>11244.56</v>
      </c>
      <c r="M16" s="9"/>
    </row>
    <row r="17" spans="1:16" x14ac:dyDescent="0.25">
      <c r="C17" t="s">
        <v>22</v>
      </c>
      <c r="D17" s="15">
        <v>8000</v>
      </c>
      <c r="E17" s="15">
        <v>8000</v>
      </c>
      <c r="F17" s="15"/>
      <c r="G17" s="15"/>
      <c r="H17" s="15"/>
      <c r="I17" s="15"/>
      <c r="J17" s="18"/>
      <c r="K17" s="19"/>
      <c r="L17" s="19"/>
      <c r="M17" s="9"/>
    </row>
    <row r="18" spans="1:16" x14ac:dyDescent="0.25">
      <c r="C18" t="s">
        <v>9</v>
      </c>
      <c r="D18" s="15">
        <v>10000</v>
      </c>
      <c r="E18" s="15">
        <v>9000</v>
      </c>
      <c r="F18" s="15">
        <f>1296.75+12405</f>
        <v>13701.75</v>
      </c>
      <c r="G18" s="15">
        <f>347.2+8630</f>
        <v>8977.2000000000007</v>
      </c>
      <c r="H18" s="15">
        <f>220+7695</f>
        <v>7915</v>
      </c>
      <c r="I18" s="15">
        <f>5275+1460.92+4250</f>
        <v>10985.92</v>
      </c>
      <c r="J18" s="18">
        <f>4653+5268.15</f>
        <v>9921.15</v>
      </c>
      <c r="K18" s="17">
        <v>10272</v>
      </c>
      <c r="L18" s="19">
        <v>8550</v>
      </c>
      <c r="M18" s="9"/>
    </row>
    <row r="19" spans="1:16" x14ac:dyDescent="0.25">
      <c r="C19" t="s">
        <v>10</v>
      </c>
      <c r="D19" s="16">
        <v>1000</v>
      </c>
      <c r="E19" s="16">
        <v>1000</v>
      </c>
      <c r="F19" s="16">
        <f>407.27</f>
        <v>407.27</v>
      </c>
      <c r="G19" s="16"/>
      <c r="H19" s="16"/>
      <c r="I19" s="16"/>
      <c r="J19" s="20"/>
      <c r="K19" s="20">
        <v>1255.9100000000001</v>
      </c>
      <c r="L19" s="20">
        <v>913.24</v>
      </c>
      <c r="M19" s="9"/>
    </row>
    <row r="20" spans="1:16" x14ac:dyDescent="0.25">
      <c r="D20" s="15">
        <f t="shared" ref="D20" si="0">SUM(D16:D19)</f>
        <v>30000</v>
      </c>
      <c r="E20" s="15">
        <f t="shared" ref="E20:L20" si="1">SUM(E16:E19)</f>
        <v>29100</v>
      </c>
      <c r="F20" s="15">
        <f t="shared" si="1"/>
        <v>36518.699999999997</v>
      </c>
      <c r="G20" s="15">
        <f t="shared" si="1"/>
        <v>28063.510000000002</v>
      </c>
      <c r="H20" s="15">
        <f t="shared" si="1"/>
        <v>25367.84</v>
      </c>
      <c r="I20" s="15">
        <f t="shared" si="1"/>
        <v>27682.940000000002</v>
      </c>
      <c r="J20" s="18">
        <f t="shared" si="1"/>
        <v>28314.15</v>
      </c>
      <c r="K20" s="19">
        <f t="shared" si="1"/>
        <v>29883.25</v>
      </c>
      <c r="L20" s="19">
        <f t="shared" si="1"/>
        <v>20707.8</v>
      </c>
      <c r="M20" s="9"/>
    </row>
    <row r="21" spans="1:16" x14ac:dyDescent="0.25">
      <c r="D21" s="15"/>
      <c r="E21" s="15"/>
      <c r="F21" s="15"/>
      <c r="G21" s="15"/>
      <c r="H21" s="15"/>
      <c r="I21" s="15"/>
      <c r="J21" s="18"/>
      <c r="K21" s="19"/>
      <c r="L21" s="19"/>
      <c r="M21" s="9"/>
    </row>
    <row r="22" spans="1:16" x14ac:dyDescent="0.25">
      <c r="B22" t="s">
        <v>11</v>
      </c>
      <c r="D22" s="15">
        <v>10500</v>
      </c>
      <c r="E22" s="15">
        <v>8500</v>
      </c>
      <c r="F22" s="15">
        <f>1710+90+2138.01+4590.89+1426+521.39</f>
        <v>10476.290000000001</v>
      </c>
      <c r="G22" s="15">
        <f>196+46+1407.81+1572.51+1244+2141.61+1730</f>
        <v>8337.93</v>
      </c>
      <c r="H22" s="15">
        <f>1340+327.6+23.7+1733.43+2335.23+1022+1689.21</f>
        <v>8471.17</v>
      </c>
      <c r="I22" s="15">
        <f>1465.95+455.94+440+31+396+2525.84+1172+1873.02</f>
        <v>8359.75</v>
      </c>
      <c r="J22" s="18">
        <f>1347.07+171.8+78+2818.32+780+944.01+490</f>
        <v>6629.2000000000007</v>
      </c>
      <c r="K22" s="19">
        <v>8640.0300000000007</v>
      </c>
      <c r="L22" s="19">
        <v>7206.55</v>
      </c>
      <c r="M22" s="9"/>
    </row>
    <row r="23" spans="1:16" x14ac:dyDescent="0.25">
      <c r="B23" t="s">
        <v>28</v>
      </c>
      <c r="D23" s="15">
        <v>700</v>
      </c>
      <c r="E23" s="15">
        <v>700</v>
      </c>
      <c r="F23" s="15">
        <v>0</v>
      </c>
      <c r="G23" s="15">
        <v>405.38</v>
      </c>
      <c r="H23" s="15">
        <v>690.68</v>
      </c>
      <c r="I23" s="15">
        <v>1899.61</v>
      </c>
      <c r="J23" s="18"/>
      <c r="K23" s="21">
        <v>0</v>
      </c>
      <c r="L23" s="21">
        <v>0</v>
      </c>
      <c r="M23" s="9"/>
    </row>
    <row r="24" spans="1:16" x14ac:dyDescent="0.25">
      <c r="B24" t="s">
        <v>12</v>
      </c>
      <c r="D24" s="15">
        <v>3000</v>
      </c>
      <c r="E24" s="15">
        <v>4000</v>
      </c>
      <c r="F24" s="15">
        <f>1374.22+1379.39</f>
        <v>2753.61</v>
      </c>
      <c r="G24" s="15">
        <f>2449.37+934.88</f>
        <v>3384.25</v>
      </c>
      <c r="H24" s="15">
        <f>3647.63+978.21</f>
        <v>4625.84</v>
      </c>
      <c r="I24" s="15">
        <v>2710.62</v>
      </c>
      <c r="J24" s="18">
        <f>2985.25</f>
        <v>2985.25</v>
      </c>
      <c r="K24" s="21">
        <v>3964.77</v>
      </c>
      <c r="L24" s="21">
        <v>3049.12</v>
      </c>
      <c r="M24" s="9"/>
    </row>
    <row r="25" spans="1:16" x14ac:dyDescent="0.25">
      <c r="B25" t="s">
        <v>13</v>
      </c>
      <c r="D25" s="15">
        <v>10000</v>
      </c>
      <c r="E25" s="15">
        <v>11000</v>
      </c>
      <c r="F25" s="15">
        <f>4632.64+4188.1</f>
        <v>8820.7400000000016</v>
      </c>
      <c r="G25" s="15">
        <f>4242.6+2700+3290.75</f>
        <v>10233.35</v>
      </c>
      <c r="H25" s="15">
        <f>3323.2+335.3+4828.31</f>
        <v>8486.8100000000013</v>
      </c>
      <c r="I25" s="15">
        <f>3272.8+3749.04+850.35</f>
        <v>7872.1900000000005</v>
      </c>
      <c r="J25" s="18">
        <f>3485.08+3542.4+701.51</f>
        <v>7728.99</v>
      </c>
      <c r="K25" s="17">
        <v>7417.66</v>
      </c>
      <c r="L25" s="21">
        <v>6733.43</v>
      </c>
      <c r="M25" s="9"/>
    </row>
    <row r="26" spans="1:16" x14ac:dyDescent="0.25">
      <c r="B26" t="s">
        <v>23</v>
      </c>
      <c r="D26" s="15">
        <v>100</v>
      </c>
      <c r="E26" s="15">
        <v>100</v>
      </c>
      <c r="F26" s="15">
        <f>7708.86</f>
        <v>7708.86</v>
      </c>
      <c r="G26" s="15">
        <f>36997.49</f>
        <v>36997.49</v>
      </c>
      <c r="H26" s="15">
        <v>33697.519999999997</v>
      </c>
      <c r="I26" s="15">
        <f>33751.14</f>
        <v>33751.14</v>
      </c>
      <c r="J26" s="18">
        <f>35665.09</f>
        <v>35665.089999999997</v>
      </c>
      <c r="K26" s="21">
        <v>35072.81</v>
      </c>
      <c r="L26" s="21">
        <v>43047.94</v>
      </c>
      <c r="M26" s="9"/>
    </row>
    <row r="27" spans="1:16" x14ac:dyDescent="0.25">
      <c r="B27" t="s">
        <v>35</v>
      </c>
      <c r="D27" s="15">
        <f>(1.6*(2400*9))+(1.6*(300*12))</f>
        <v>40320</v>
      </c>
      <c r="E27" s="15">
        <f>(1.65*(2400*12))+(1.65*(300*12))</f>
        <v>53460</v>
      </c>
      <c r="F27" s="15">
        <v>26142.49</v>
      </c>
      <c r="G27" s="15"/>
      <c r="H27" s="15"/>
      <c r="I27" s="15"/>
      <c r="J27" s="18"/>
      <c r="K27" s="21"/>
      <c r="L27" s="21"/>
      <c r="M27" s="9"/>
    </row>
    <row r="28" spans="1:16" x14ac:dyDescent="0.25">
      <c r="B28" t="s">
        <v>40</v>
      </c>
      <c r="D28" s="15">
        <f>12*410</f>
        <v>4920</v>
      </c>
      <c r="E28" s="15">
        <f>12*410</f>
        <v>4920</v>
      </c>
      <c r="F28" s="15">
        <v>4481</v>
      </c>
      <c r="G28" s="15"/>
      <c r="H28" s="15"/>
      <c r="I28" s="15"/>
      <c r="J28" s="18"/>
      <c r="K28" s="21"/>
      <c r="L28" s="21"/>
      <c r="M28" s="9"/>
    </row>
    <row r="29" spans="1:16" x14ac:dyDescent="0.25">
      <c r="B29" t="s">
        <v>37</v>
      </c>
      <c r="D29" s="15">
        <v>500</v>
      </c>
      <c r="E29" s="15">
        <v>400</v>
      </c>
      <c r="F29" s="15">
        <v>496</v>
      </c>
      <c r="G29" s="15">
        <v>96</v>
      </c>
      <c r="H29" s="15">
        <v>210</v>
      </c>
      <c r="I29" s="15">
        <v>307.5</v>
      </c>
      <c r="J29" s="18">
        <v>672.5</v>
      </c>
      <c r="K29" s="21">
        <v>488</v>
      </c>
      <c r="L29" s="21">
        <v>427</v>
      </c>
      <c r="M29" s="9"/>
      <c r="O29" s="15"/>
      <c r="P29" s="15"/>
    </row>
    <row r="30" spans="1:16" x14ac:dyDescent="0.25">
      <c r="B30" t="s">
        <v>14</v>
      </c>
      <c r="D30" s="16">
        <v>2064</v>
      </c>
      <c r="E30" s="16">
        <v>2380</v>
      </c>
      <c r="F30" s="16">
        <f>145.08+400+45.34+111.24+319.35+595+267.6</f>
        <v>1883.6100000000001</v>
      </c>
      <c r="G30" s="16">
        <f>580.27+532.36+1111.95+314.87+138</f>
        <v>2677.45</v>
      </c>
      <c r="H30" s="16">
        <v>2738.73</v>
      </c>
      <c r="I30" s="16">
        <f>472.56+820.05+500+60+531.48+46.8+1502.1+3475</f>
        <v>7407.99</v>
      </c>
      <c r="J30" s="20">
        <f>657.74+509.51+113+620.41</f>
        <v>1900.6599999999999</v>
      </c>
      <c r="K30" s="22">
        <v>2337.52</v>
      </c>
      <c r="L30" s="22">
        <v>1633.69</v>
      </c>
      <c r="M30" s="9"/>
      <c r="N30" s="25"/>
    </row>
    <row r="31" spans="1:16" x14ac:dyDescent="0.25">
      <c r="D31" s="15">
        <f t="shared" ref="D31" si="2">SUM(D22:D30)</f>
        <v>72104</v>
      </c>
      <c r="E31" s="15">
        <f t="shared" ref="E31:L31" si="3">SUM(E22:E30)</f>
        <v>85460</v>
      </c>
      <c r="F31" s="15">
        <f t="shared" si="3"/>
        <v>62762.600000000006</v>
      </c>
      <c r="G31" s="15">
        <f t="shared" si="3"/>
        <v>62131.849999999991</v>
      </c>
      <c r="H31" s="15">
        <f t="shared" si="3"/>
        <v>58920.75</v>
      </c>
      <c r="I31" s="15">
        <f t="shared" si="3"/>
        <v>62308.799999999996</v>
      </c>
      <c r="J31" s="18">
        <f t="shared" si="3"/>
        <v>55581.69</v>
      </c>
      <c r="K31" s="17">
        <f t="shared" si="3"/>
        <v>57920.789999999994</v>
      </c>
      <c r="L31" s="19">
        <f t="shared" si="3"/>
        <v>62097.73</v>
      </c>
      <c r="M31" s="9"/>
    </row>
    <row r="32" spans="1:16" x14ac:dyDescent="0.25">
      <c r="A32" s="3" t="s">
        <v>15</v>
      </c>
      <c r="D32" s="15">
        <f t="shared" ref="D32" si="4">D31+D20</f>
        <v>102104</v>
      </c>
      <c r="E32" s="15">
        <f t="shared" ref="E32:L32" si="5">E31+E20</f>
        <v>114560</v>
      </c>
      <c r="F32" s="15">
        <f t="shared" si="5"/>
        <v>99281.3</v>
      </c>
      <c r="G32" s="15">
        <f t="shared" si="5"/>
        <v>90195.359999999986</v>
      </c>
      <c r="H32" s="15">
        <f t="shared" si="5"/>
        <v>84288.59</v>
      </c>
      <c r="I32" s="15">
        <f t="shared" si="5"/>
        <v>89991.739999999991</v>
      </c>
      <c r="J32" s="18">
        <f t="shared" si="5"/>
        <v>83895.84</v>
      </c>
      <c r="K32" s="19">
        <f t="shared" si="5"/>
        <v>87804.04</v>
      </c>
      <c r="L32" s="19">
        <f t="shared" si="5"/>
        <v>82805.53</v>
      </c>
      <c r="M32" s="9"/>
    </row>
    <row r="33" spans="1:13" ht="12.75" customHeight="1" x14ac:dyDescent="0.25">
      <c r="D33" s="15"/>
      <c r="E33" s="15"/>
      <c r="F33" s="15"/>
      <c r="G33" s="15"/>
      <c r="H33" s="15"/>
      <c r="I33" s="15"/>
      <c r="J33" s="18"/>
      <c r="K33" s="17"/>
      <c r="L33" s="19"/>
      <c r="M33" s="9"/>
    </row>
    <row r="34" spans="1:13" x14ac:dyDescent="0.25">
      <c r="A34" s="3" t="s">
        <v>16</v>
      </c>
      <c r="D34" s="15">
        <f t="shared" ref="D34:E34" si="6">D11-D32</f>
        <v>-22604</v>
      </c>
      <c r="E34" s="15">
        <f t="shared" si="6"/>
        <v>-22104</v>
      </c>
      <c r="F34" s="15">
        <f t="shared" ref="F34:L34" si="7">F11-F32</f>
        <v>-24633.600000000006</v>
      </c>
      <c r="G34" s="15">
        <f t="shared" si="7"/>
        <v>-12853.059999999983</v>
      </c>
      <c r="H34" s="15">
        <f t="shared" si="7"/>
        <v>-4676.25</v>
      </c>
      <c r="I34" s="15">
        <f t="shared" si="7"/>
        <v>-26240.089999999989</v>
      </c>
      <c r="J34" s="18">
        <f t="shared" si="7"/>
        <v>-18988.839999999997</v>
      </c>
      <c r="K34" s="19">
        <f t="shared" si="7"/>
        <v>-25028.039999999994</v>
      </c>
      <c r="L34" s="19">
        <f t="shared" si="7"/>
        <v>-22743.53</v>
      </c>
      <c r="M34" s="9"/>
    </row>
    <row r="35" spans="1:13" ht="14.25" customHeight="1" x14ac:dyDescent="0.25">
      <c r="D35" s="15"/>
      <c r="E35" s="15"/>
      <c r="F35" s="15"/>
      <c r="G35" s="15"/>
      <c r="H35" s="15"/>
      <c r="I35" s="15"/>
      <c r="J35" s="18"/>
      <c r="K35" s="19"/>
      <c r="L35" s="19"/>
      <c r="M35" s="9"/>
    </row>
    <row r="36" spans="1:13" x14ac:dyDescent="0.25">
      <c r="A36" s="3" t="s">
        <v>17</v>
      </c>
      <c r="D36" s="15"/>
      <c r="E36" s="15"/>
      <c r="F36" s="15"/>
      <c r="G36" s="15"/>
      <c r="H36" s="15"/>
      <c r="I36" s="15"/>
      <c r="J36" s="18"/>
      <c r="K36" s="19"/>
      <c r="L36" s="19"/>
      <c r="M36" s="9"/>
    </row>
    <row r="37" spans="1:13" x14ac:dyDescent="0.25">
      <c r="A37" s="3" t="s">
        <v>2</v>
      </c>
      <c r="D37" s="15"/>
      <c r="E37" s="15"/>
      <c r="F37" s="15"/>
      <c r="G37" s="15"/>
      <c r="H37" s="15"/>
      <c r="I37" s="15"/>
      <c r="J37" s="18"/>
      <c r="K37" s="19"/>
      <c r="L37" s="19"/>
      <c r="M37" s="9"/>
    </row>
    <row r="38" spans="1:13" x14ac:dyDescent="0.25">
      <c r="B38" t="s">
        <v>18</v>
      </c>
      <c r="D38" s="15">
        <v>100</v>
      </c>
      <c r="E38" s="15">
        <v>100</v>
      </c>
      <c r="F38" s="15">
        <v>210.8</v>
      </c>
      <c r="G38" s="15">
        <v>146.19999999999999</v>
      </c>
      <c r="H38" s="15">
        <v>115.6</v>
      </c>
      <c r="I38" s="15">
        <v>88.4</v>
      </c>
      <c r="J38" s="18">
        <v>98.6</v>
      </c>
      <c r="K38" s="17">
        <v>85</v>
      </c>
      <c r="L38" s="19">
        <v>68</v>
      </c>
      <c r="M38" s="9"/>
    </row>
    <row r="39" spans="1:13" x14ac:dyDescent="0.25">
      <c r="B39" t="s">
        <v>19</v>
      </c>
      <c r="D39" s="15">
        <v>4</v>
      </c>
      <c r="E39" s="15">
        <v>4</v>
      </c>
      <c r="F39" s="15">
        <v>430.57</v>
      </c>
      <c r="G39" s="15">
        <f>43.24+512.1+0.03</f>
        <v>555.37</v>
      </c>
      <c r="H39" s="15">
        <f>45.07+1.4+1.32</f>
        <v>47.79</v>
      </c>
      <c r="I39" s="15">
        <f>2.39+2.92</f>
        <v>5.3100000000000005</v>
      </c>
      <c r="J39" s="18">
        <f>7.08+2.97</f>
        <v>10.050000000000001</v>
      </c>
      <c r="K39" s="19">
        <v>25.66</v>
      </c>
      <c r="L39" s="19">
        <v>791.9</v>
      </c>
      <c r="M39" s="9"/>
    </row>
    <row r="40" spans="1:13" x14ac:dyDescent="0.25">
      <c r="B40" t="s">
        <v>32</v>
      </c>
      <c r="D40" s="16">
        <f>12*2500</f>
        <v>30000</v>
      </c>
      <c r="E40" s="16">
        <f>12*2500</f>
        <v>30000</v>
      </c>
      <c r="F40" s="16">
        <f>12*2500</f>
        <v>30000</v>
      </c>
      <c r="G40" s="16">
        <f>22300</f>
        <v>22300</v>
      </c>
      <c r="H40" s="16">
        <v>27600</v>
      </c>
      <c r="I40" s="16">
        <v>27600</v>
      </c>
      <c r="J40" s="20">
        <v>30000</v>
      </c>
      <c r="K40" s="23">
        <v>30000</v>
      </c>
      <c r="L40" s="20">
        <v>24750</v>
      </c>
      <c r="M40" s="9"/>
    </row>
    <row r="41" spans="1:13" x14ac:dyDescent="0.25">
      <c r="D41" s="15">
        <f t="shared" ref="D41" si="8">SUM(D38:D40)</f>
        <v>30104</v>
      </c>
      <c r="E41" s="15">
        <f t="shared" ref="E41:L41" si="9">SUM(E38:E40)</f>
        <v>30104</v>
      </c>
      <c r="F41" s="15">
        <f t="shared" si="9"/>
        <v>30641.37</v>
      </c>
      <c r="G41" s="15">
        <f t="shared" si="9"/>
        <v>23001.57</v>
      </c>
      <c r="H41" s="15">
        <f t="shared" si="9"/>
        <v>27763.39</v>
      </c>
      <c r="I41" s="15">
        <f t="shared" si="9"/>
        <v>27693.71</v>
      </c>
      <c r="J41" s="18">
        <f t="shared" si="9"/>
        <v>30108.65</v>
      </c>
      <c r="K41" s="19">
        <f t="shared" si="9"/>
        <v>30110.66</v>
      </c>
      <c r="L41" s="19">
        <f t="shared" si="9"/>
        <v>25609.9</v>
      </c>
      <c r="M41" s="9"/>
    </row>
    <row r="42" spans="1:13" x14ac:dyDescent="0.25">
      <c r="A42" s="3" t="s">
        <v>4</v>
      </c>
      <c r="D42" s="15"/>
      <c r="E42" s="15"/>
      <c r="F42" s="15"/>
      <c r="G42" s="15"/>
      <c r="H42" s="15"/>
      <c r="I42" s="15"/>
      <c r="J42" s="18"/>
      <c r="K42" s="19"/>
      <c r="L42" s="19"/>
      <c r="M42" s="9"/>
    </row>
    <row r="43" spans="1:13" x14ac:dyDescent="0.25">
      <c r="B43" t="s">
        <v>20</v>
      </c>
      <c r="D43" s="15">
        <v>7500</v>
      </c>
      <c r="E43" s="15">
        <v>8000</v>
      </c>
      <c r="F43" s="15">
        <v>5476.68</v>
      </c>
      <c r="G43" s="15">
        <f>4853.52+9792.34+646.14+1535.52</f>
        <v>16827.52</v>
      </c>
      <c r="H43" s="15">
        <v>4990.66</v>
      </c>
      <c r="I43" s="15">
        <f>7091.28+957.86</f>
        <v>8049.1399999999994</v>
      </c>
      <c r="J43" s="18">
        <f>6632.9+802.99</f>
        <v>7435.8899999999994</v>
      </c>
      <c r="K43" s="19">
        <v>6135.93</v>
      </c>
      <c r="L43" s="19">
        <v>11265.28</v>
      </c>
      <c r="M43" s="9"/>
    </row>
    <row r="44" spans="1:13" ht="13.5" customHeight="1" x14ac:dyDescent="0.25">
      <c r="D44" s="15"/>
      <c r="E44" s="15"/>
      <c r="F44" s="15"/>
      <c r="G44" s="15"/>
      <c r="H44" s="15"/>
      <c r="I44" s="15"/>
      <c r="J44" s="18"/>
      <c r="K44" s="19"/>
      <c r="L44" s="19"/>
      <c r="M44" s="9"/>
    </row>
    <row r="45" spans="1:13" x14ac:dyDescent="0.25">
      <c r="A45" s="3" t="s">
        <v>16</v>
      </c>
      <c r="D45" s="15">
        <f t="shared" ref="D45:E45" si="10">D34+D41-D43</f>
        <v>0</v>
      </c>
      <c r="E45" s="15">
        <f t="shared" si="10"/>
        <v>0</v>
      </c>
      <c r="F45" s="15">
        <f t="shared" ref="F45:L45" si="11">F34+F41-F43</f>
        <v>531.08999999999287</v>
      </c>
      <c r="G45" s="15">
        <f t="shared" si="11"/>
        <v>-6679.0099999999838</v>
      </c>
      <c r="H45" s="15">
        <f t="shared" si="11"/>
        <v>18096.48</v>
      </c>
      <c r="I45" s="15">
        <f t="shared" si="11"/>
        <v>-6595.5199999999895</v>
      </c>
      <c r="J45" s="18">
        <f t="shared" si="11"/>
        <v>3683.9200000000055</v>
      </c>
      <c r="K45" s="19">
        <f t="shared" si="11"/>
        <v>-1053.309999999994</v>
      </c>
      <c r="L45" s="19">
        <f t="shared" si="11"/>
        <v>-8398.909999999998</v>
      </c>
      <c r="M45" s="9"/>
    </row>
    <row r="46" spans="1:13" ht="15" customHeight="1" x14ac:dyDescent="0.25">
      <c r="D46" s="15"/>
      <c r="E46" s="15"/>
      <c r="F46" s="15"/>
      <c r="G46" s="15"/>
      <c r="H46" s="15"/>
      <c r="I46" s="15"/>
      <c r="J46" s="18"/>
      <c r="K46" s="19"/>
      <c r="L46" s="19"/>
      <c r="M46" s="9"/>
    </row>
    <row r="47" spans="1:13" x14ac:dyDescent="0.25">
      <c r="A47" s="3" t="s">
        <v>21</v>
      </c>
      <c r="D47" s="15">
        <f t="shared" ref="D47:E47" si="12">D45</f>
        <v>0</v>
      </c>
      <c r="E47" s="15">
        <f t="shared" si="12"/>
        <v>0</v>
      </c>
      <c r="F47" s="15">
        <f t="shared" ref="F47:L47" si="13">F45</f>
        <v>531.08999999999287</v>
      </c>
      <c r="G47" s="15">
        <f t="shared" si="13"/>
        <v>-6679.0099999999838</v>
      </c>
      <c r="H47" s="15">
        <f t="shared" si="13"/>
        <v>18096.48</v>
      </c>
      <c r="I47" s="15">
        <f t="shared" si="13"/>
        <v>-6595.5199999999895</v>
      </c>
      <c r="J47" s="18">
        <f t="shared" si="13"/>
        <v>3683.9200000000055</v>
      </c>
      <c r="K47" s="19">
        <f t="shared" si="13"/>
        <v>-1053.309999999994</v>
      </c>
      <c r="L47" s="19">
        <f t="shared" si="13"/>
        <v>-8398.909999999998</v>
      </c>
      <c r="M47" s="9"/>
    </row>
    <row r="48" spans="1:13" x14ac:dyDescent="0.25">
      <c r="F48" s="15"/>
      <c r="K48" s="8"/>
      <c r="L48" s="8"/>
      <c r="M48" s="9"/>
    </row>
    <row r="49" spans="11:13" x14ac:dyDescent="0.25">
      <c r="K49" s="11"/>
      <c r="L49" s="8"/>
      <c r="M49" s="9"/>
    </row>
    <row r="50" spans="11:13" x14ac:dyDescent="0.25">
      <c r="K50" s="8"/>
      <c r="L50" s="8"/>
      <c r="M50" s="9"/>
    </row>
    <row r="51" spans="11:13" x14ac:dyDescent="0.25">
      <c r="K51" s="8"/>
      <c r="L51" s="8"/>
      <c r="M51" s="9"/>
    </row>
    <row r="52" spans="11:13" x14ac:dyDescent="0.25">
      <c r="K52" s="8"/>
      <c r="L52" s="8"/>
      <c r="M52" s="9"/>
    </row>
    <row r="53" spans="11:13" x14ac:dyDescent="0.25">
      <c r="K53" s="11"/>
      <c r="L53" s="8"/>
      <c r="M53" s="9"/>
    </row>
    <row r="54" spans="11:13" x14ac:dyDescent="0.25">
      <c r="K54" s="10"/>
      <c r="L54" s="8"/>
      <c r="M54" s="9"/>
    </row>
    <row r="55" spans="11:13" x14ac:dyDescent="0.25">
      <c r="K55" s="10"/>
      <c r="L55" s="8"/>
      <c r="M55" s="9"/>
    </row>
  </sheetData>
  <pageMargins left="0.7" right="0.7" top="0.75" bottom="0.75" header="0.3" footer="0.3"/>
  <pageSetup paperSize="9" scale="6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pia.parikka</dc:creator>
  <cp:lastModifiedBy>Pia Parikka</cp:lastModifiedBy>
  <cp:lastPrinted>2015-10-23T12:16:21Z</cp:lastPrinted>
  <dcterms:created xsi:type="dcterms:W3CDTF">2009-09-14T12:02:26Z</dcterms:created>
  <dcterms:modified xsi:type="dcterms:W3CDTF">2016-11-15T12:00:24Z</dcterms:modified>
</cp:coreProperties>
</file>